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A96EA5F2-85CE-47FD-83B5-81FDAB3D8D70}" xr6:coauthVersionLast="47" xr6:coauthVersionMax="47" xr10:uidLastSave="{00000000-0000-0000-0000-000000000000}"/>
  <bookViews>
    <workbookView xWindow="-1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C101" i="9"/>
  <c r="E101" i="9"/>
  <c r="D101" i="9"/>
  <c r="L55" i="9"/>
  <c r="M55" i="9" s="1"/>
  <c r="C55" i="9"/>
  <c r="K48" i="4"/>
  <c r="M49" i="4"/>
  <c r="M23" i="4"/>
  <c r="K22" i="4"/>
  <c r="M75" i="4"/>
  <c r="L96" i="9"/>
  <c r="D96" i="9"/>
  <c r="I96" i="9"/>
  <c r="E96" i="9"/>
  <c r="F96" i="9"/>
  <c r="C96" i="9"/>
  <c r="I117" i="9"/>
  <c r="E117" i="9"/>
  <c r="D117" i="9"/>
  <c r="C117" i="9"/>
  <c r="F117" i="9"/>
  <c r="L117" i="9"/>
  <c r="L115" i="9"/>
  <c r="C115" i="9"/>
  <c r="I115" i="9"/>
  <c r="D115" i="9"/>
  <c r="F115" i="9"/>
  <c r="E115" i="9"/>
  <c r="E63" i="9"/>
  <c r="F63" i="9"/>
  <c r="D63" i="9"/>
  <c r="I63" i="9"/>
  <c r="C63" i="9"/>
  <c r="L63" i="9"/>
  <c r="D76" i="9"/>
  <c r="F76" i="9"/>
  <c r="C76" i="9"/>
  <c r="E76" i="9"/>
  <c r="L76" i="9"/>
  <c r="I76" i="9"/>
  <c r="M69" i="4"/>
  <c r="K68" i="4"/>
  <c r="D69" i="9"/>
  <c r="C69" i="9"/>
  <c r="E69" i="9"/>
  <c r="F69" i="9"/>
  <c r="I69" i="9"/>
  <c r="L69" i="9"/>
  <c r="M69" i="9" s="1"/>
  <c r="F87" i="9"/>
  <c r="I87" i="9"/>
  <c r="D87" i="9"/>
  <c r="E87" i="9"/>
  <c r="C87" i="9"/>
  <c r="L87" i="9"/>
  <c r="C56" i="9"/>
  <c r="L56" i="9"/>
  <c r="M56" i="9" s="1"/>
  <c r="C103" i="9"/>
  <c r="F103" i="9"/>
  <c r="L103" i="9"/>
  <c r="M103" i="9" s="1"/>
  <c r="I103" i="9"/>
  <c r="E103" i="9"/>
  <c r="D103" i="9"/>
  <c r="F60" i="9"/>
  <c r="C60" i="9"/>
  <c r="D60" i="9"/>
  <c r="E60" i="9"/>
  <c r="L60" i="9"/>
  <c r="M60" i="9" s="1"/>
  <c r="I60" i="9"/>
  <c r="C65" i="9"/>
  <c r="F65" i="9"/>
  <c r="D65" i="9"/>
  <c r="I65" i="9"/>
  <c r="E65" i="9"/>
  <c r="L65" i="9"/>
  <c r="M65" i="9" s="1"/>
  <c r="K18" i="4"/>
  <c r="L79" i="9"/>
  <c r="C79" i="9"/>
  <c r="E79" i="9"/>
  <c r="I79" i="9"/>
  <c r="D79" i="9"/>
  <c r="M27" i="4"/>
  <c r="K26" i="4"/>
  <c r="C13" i="6"/>
  <c r="F59" i="9"/>
  <c r="C59" i="9"/>
  <c r="L59" i="9"/>
  <c r="M59" i="9" s="1"/>
  <c r="E59" i="9"/>
  <c r="I59" i="9"/>
  <c r="D59" i="9"/>
  <c r="M5" i="4"/>
  <c r="K4" i="4"/>
  <c r="J4" i="4" s="1"/>
  <c r="F56" i="9" s="1"/>
  <c r="M31" i="4"/>
  <c r="K30" i="4"/>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I124" i="9"/>
  <c r="D124" i="9"/>
  <c r="L124" i="9"/>
  <c r="C124" i="9"/>
  <c r="F124" i="9"/>
  <c r="E124" i="9"/>
  <c r="F94" i="9"/>
  <c r="E94" i="9"/>
  <c r="C94" i="9"/>
  <c r="L94" i="9"/>
  <c r="I94" i="9"/>
  <c r="D94" i="9"/>
  <c r="I84" i="9"/>
  <c r="C84" i="9"/>
  <c r="D84" i="9"/>
  <c r="E84" i="9"/>
  <c r="F84" i="9"/>
  <c r="L84" i="9"/>
  <c r="M84" i="9" s="1"/>
  <c r="I123" i="9"/>
  <c r="L123" i="9"/>
  <c r="M123" i="9" s="1"/>
  <c r="F123" i="9"/>
  <c r="E123" i="9"/>
  <c r="C123" i="9"/>
  <c r="D123" i="9"/>
  <c r="L102" i="9" l="1"/>
  <c r="I101" i="9"/>
  <c r="F101" i="9"/>
  <c r="M117" i="9"/>
  <c r="D56" i="9"/>
  <c r="E56" i="9" s="1"/>
  <c r="F62" i="9"/>
  <c r="I5" i="4"/>
  <c r="I2" i="4"/>
  <c r="D54" i="9" s="1"/>
  <c r="M91" i="4"/>
  <c r="M127" i="9"/>
  <c r="M116" i="9"/>
  <c r="E71" i="9"/>
  <c r="D71" i="9"/>
  <c r="C71" i="9"/>
  <c r="F71" i="9"/>
  <c r="E114" i="9"/>
  <c r="M55" i="4"/>
  <c r="M77" i="4"/>
  <c r="I78" i="9"/>
  <c r="L98" i="9"/>
  <c r="M98" i="9" s="1"/>
  <c r="D98" i="9"/>
  <c r="J98" i="9" s="1"/>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66" i="9"/>
  <c r="J121" i="9"/>
  <c r="J75" i="9"/>
  <c r="J71" i="9"/>
  <c r="J115" i="9"/>
  <c r="C15" i="6"/>
  <c r="J92" i="9"/>
  <c r="J95" i="9"/>
  <c r="J74" i="9"/>
  <c r="J59" i="9"/>
  <c r="J87" i="9"/>
  <c r="J85" i="9"/>
  <c r="B38" i="9"/>
  <c r="I39" i="9"/>
  <c r="H39" i="9"/>
  <c r="H40" i="9"/>
  <c r="J63" i="9"/>
  <c r="J65" i="9"/>
  <c r="J96" i="9"/>
  <c r="R41" i="9"/>
  <c r="T41" i="9"/>
  <c r="L42" i="9"/>
  <c r="C40" i="9" s="1"/>
  <c r="L11" i="9"/>
  <c r="P41" i="9"/>
  <c r="N41" i="9"/>
  <c r="J84" i="9"/>
  <c r="J94" i="9"/>
  <c r="J124" i="9"/>
  <c r="J117" i="9"/>
  <c r="J55" i="9"/>
  <c r="J103" i="9"/>
  <c r="J40" i="9"/>
  <c r="H44" i="9"/>
  <c r="H45" i="9"/>
  <c r="I44" i="9"/>
  <c r="J76" i="9"/>
  <c r="R46" i="9"/>
  <c r="L47" i="9"/>
  <c r="C45" i="9" s="1"/>
  <c r="N46" i="9"/>
  <c r="T46" i="9"/>
  <c r="L13" i="9"/>
  <c r="P46" i="9"/>
  <c r="J60" i="9"/>
  <c r="J69" i="9"/>
  <c r="J56" i="9" l="1"/>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<sst xmlns="http://schemas.openxmlformats.org/spreadsheetml/2006/main" count="2753" uniqueCount="1542">
  <si>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</si>
  <si>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</si>
  <si>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</si>
  <si>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</si>
  <si>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</si>
  <si>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</si>
  <si>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</si>
  <si>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</si>
  <si>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</si>
  <si>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</si>
  <si>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</si>
  <si>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</si>
  <si>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</si>
  <si>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</si>
  <si>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</si>
  <si>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</si>
  <si>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</si>
  <si>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</si>
  <si>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</si>
  <si>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</si>
  <si>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</si>
  <si>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</si>
  <si>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</si>
  <si>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</si>
  <si>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</si>
  <si>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</si>
  <si>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</si>
  <si>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</si>
  <si>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</si>
  <si>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</si>
  <si>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</si>
  <si>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</si>
  <si>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</si>
  <si>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</si>
  <si>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</si>
  <si>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</si>
  <si>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</si>
  <si>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</si>
  <si>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</si>
  <si>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</si>
  <si>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</si>
  <si>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</si>
  <si>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</si>
  <si>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</si>
  <si>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</si>
  <si>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</si>
  <si>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</si>
  <si>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</si>
  <si>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</si>
  <si>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</si>
  <si>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</si>
  <si>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</si>
  <si>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</si>
  <si>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</si>
  <si>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</si>
  <si>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</si>
  <si>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</si>
  <si>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</si>
  <si>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</si>
  <si>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</si>
  <si>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</si>
  <si>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</si>
  <si>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</si>
  <si>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</si>
  <si>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</si>
  <si>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</si>
  <si>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</si>
  <si>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</si>
  <si>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</si>
  <si>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</si>
  <si>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</si>
  <si>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</si>
  <si>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</si>
  <si>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</si>
  <si>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</si>
  <si>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</si>
  <si>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</si>
  <si>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</si>
  <si>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</si>
  <si>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</si>
  <si>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</si>
  <si>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</si>
  <si>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</si>
  <si>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</si>
  <si>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</si>
  <si>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</si>
  <si>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</si>
  <si>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</si>
  <si>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</si>
  <si>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</si>
  <si>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</si>
  <si>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</si>
  <si>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</si>
  <si>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</si>
  <si>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</si>
  <si>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</si>
  <si>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</si>
  <si>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</si>
  <si>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</si>
  <si>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</si>
  <si>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</si>
  <si>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</si>
  <si>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</si>
  <si>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</si>
  <si>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</si>
  <si>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</si>
  <si>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</si>
  <si>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</si>
  <si>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</si>
  <si>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</si>
  <si>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</si>
  <si>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</si>
  <si>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</si>
  <si>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</si>
  <si>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</si>
  <si>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</si>
  <si>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</si>
  <si>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</si>
  <si>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</si>
  <si>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</si>
  <si>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</si>
  <si>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</si>
  <si>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</si>
  <si>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</si>
  <si>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</si>
  <si>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</si>
  <si>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</si>
  <si>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</si>
  <si>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</si>
  <si>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</si>
  <si>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</si>
  <si>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</si>
  <si>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</si>
  <si>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</si>
  <si>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</si>
  <si>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</si>
  <si>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</si>
  <si>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</si>
  <si>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</si>
  <si>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</si>
  <si>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</si>
  <si>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</si>
  <si>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</si>
  <si>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</si>
  <si>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</si>
  <si>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</si>
  <si>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</si>
  <si>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</si>
  <si>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</si>
  <si>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</si>
  <si>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</si>
  <si>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</si>
  <si>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</si>
  <si>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</si>
  <si>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</si>
  <si>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</si>
  <si>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</si>
  <si>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</si>
  <si>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</si>
  <si>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</si>
  <si>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</si>
  <si>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</si>
  <si>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</si>
  <si>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</si>
  <si>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</si>
  <si>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</si>
  <si>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</si>
  <si>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</si>
  <si>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</si>
  <si>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</si>
  <si>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</si>
  <si>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</si>
  <si>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</si>
  <si>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</si>
  <si>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</si>
  <si>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</si>
  <si>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</si>
  <si>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</si>
  <si>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</si>
  <si>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</si>
  <si>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</si>
  <si>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</si>
  <si>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</si>
  <si>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</si>
  <si>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</si>
  <si>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</si>
  <si>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</si>
  <si>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</si>
  <si>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</si>
  <si>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</si>
  <si>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</si>
  <si>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</si>
  <si>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</si>
  <si>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</si>
  <si>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</si>
  <si>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</si>
  <si>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</si>
  <si>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</si>
  <si>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</si>
  <si>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</si>
  <si>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</si>
  <si>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</si>
  <si>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</si>
  <si>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</si>
  <si>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</si>
  <si>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</si>
  <si>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</si>
  <si>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</si>
  <si>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</si>
  <si>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</si>
  <si>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</si>
  <si>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</si>
  <si>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</si>
  <si>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</si>
  <si>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</si>
  <si>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</si>
  <si>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</si>
  <si>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</si>
  <si>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</si>
  <si>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</si>
  <si>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</si>
  <si>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</si>
  <si>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</si>
  <si>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</si>
  <si>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</si>
  <si>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</si>
  <si>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</si>
  <si>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</si>
  <si>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</si>
  <si>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</si>
  <si>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</si>
  <si>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</si>
  <si>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</si>
  <si>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</si>
  <si>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</si>
  <si>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</si>
  <si>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</si>
  <si>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</si>
  <si>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</si>
  <si>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</si>
  <si>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</si>
  <si>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</si>
  <si>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</si>
  <si>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</si>
  <si>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</si>
  <si>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</si>
  <si>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</si>
  <si>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</si>
  <si>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</si>
  <si>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</si>
  <si>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</si>
  <si>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</si>
  <si>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</si>
  <si>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</si>
  <si>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</si>
  <si>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</si>
  <si>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</si>
  <si>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</si>
  <si>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</si>
  <si>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</si>
  <si>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</si>
  <si>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</si>
  <si>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</si>
  <si>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</si>
  <si>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</si>
  <si>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</si>
  <si>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</si>
  <si>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</si>
  <si>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</si>
  <si>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</si>
  <si>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</si>
  <si>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</si>
  <si>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</si>
  <si>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</si>
  <si>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</si>
  <si>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</si>
  <si>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</si>
  <si>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</si>
  <si>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</si>
  <si>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</si>
  <si>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</si>
  <si>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</si>
  <si>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</si>
  <si>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</si>
  <si>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</si>
  <si>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</si>
  <si>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</si>
  <si>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</si>
  <si>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</si>
  <si>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</si>
  <si>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</si>
  <si>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</si>
  <si>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</si>
  <si>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</si>
  <si>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</si>
  <si>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</si>
  <si>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</si>
  <si>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</si>
  <si>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</si>
  <si>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</si>
  <si>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</si>
  <si>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</si>
  <si>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</si>
  <si>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</si>
  <si>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</si>
  <si>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</si>
  <si>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</si>
  <si>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</si>
  <si>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</si>
  <si>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</si>
  <si>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</si>
  <si>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</si>
  <si>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</si>
  <si>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</si>
  <si>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</si>
  <si>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</si>
  <si>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</si>
  <si>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</si>
  <si>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</si>
  <si>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</si>
  <si>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</si>
  <si>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</si>
  <si>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</si>
  <si>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</si>
  <si>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</si>
  <si>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</si>
  <si>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</si>
  <si>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</si>
  <si>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</si>
  <si>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</si>
  <si>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</si>
  <si>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</si>
  <si>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</si>
  <si>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</si>
  <si>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</si>
  <si>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</si>
  <si>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</si>
  <si>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</si>
  <si>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</si>
  <si>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</si>
  <si>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</si>
  <si>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</si>
  <si>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</si>
  <si>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</si>
  <si>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</si>
  <si>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</si>
  <si>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</si>
  <si>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</si>
  <si>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</si>
  <si>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</si>
  <si>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</si>
  <si>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</si>
  <si>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</si>
  <si>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</si>
  <si>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</si>
  <si>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</si>
  <si>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</si>
  <si>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</si>
  <si>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</si>
  <si>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</si>
  <si>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</si>
  <si>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</si>
  <si>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</si>
  <si>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</si>
  <si>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</si>
  <si>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</si>
  <si>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</si>
  <si>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</si>
  <si>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</si>
  <si>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</si>
  <si>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</si>
  <si>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</si>
  <si>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</si>
  <si>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</si>
  <si>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</si>
  <si>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</si>
  <si>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</si>
  <si>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</si>
  <si>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</si>
  <si>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</si>
  <si>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</si>
  <si>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</si>
  <si>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</si>
  <si>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</si>
  <si>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</si>
  <si>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</si>
  <si>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</si>
  <si>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</si>
  <si>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</si>
  <si>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</si>
  <si>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</si>
  <si>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</si>
  <si>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</si>
  <si>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</si>
  <si>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</si>
  <si>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</si>
  <si>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</si>
  <si>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</si>
  <si>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</si>
  <si>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</si>
  <si>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</si>
  <si>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</si>
  <si>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</si>
  <si>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</si>
  <si>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</si>
  <si>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</si>
  <si>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</si>
  <si>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</si>
  <si>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</si>
  <si>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</si>
  <si>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</si>
  <si>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</si>
  <si>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</si>
  <si>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</si>
  <si>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</si>
  <si>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</si>
  <si>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</si>
  <si>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</si>
  <si>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</si>
  <si>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</si>
  <si>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</si>
  <si>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</si>
  <si>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</si>
  <si>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</si>
  <si>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</si>
  <si>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</si>
  <si>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</si>
  <si>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</si>
  <si>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</si>
  <si>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</si>
  <si>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</si>
  <si>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</si>
  <si>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</si>
  <si>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</si>
  <si>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</si>
  <si>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</si>
  <si>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</si>
  <si>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</si>
  <si>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</si>
  <si>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</si>
  <si>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</si>
  <si>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</si>
  <si>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</si>
  <si>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</si>
  <si>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</si>
  <si>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</si>
  <si>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</si>
  <si>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</si>
  <si>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</si>
  <si>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</si>
  <si>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</si>
  <si>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</si>
  <si>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</si>
  <si>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</si>
  <si>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</si>
  <si>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</si>
  <si>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</si>
  <si>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</si>
  <si>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</si>
  <si>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</si>
  <si>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</si>
  <si>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</si>
  <si>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</si>
  <si>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</si>
  <si>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</si>
  <si>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</si>
  <si>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</si>
  <si>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</si>
  <si>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</si>
  <si>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</si>
  <si>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</si>
  <si>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</si>
  <si>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</si>
  <si>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</si>
  <si>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</si>
  <si>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</si>
  <si>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</si>
  <si>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</si>
  <si>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</si>
  <si>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</si>
  <si>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</si>
  <si>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</si>
  <si>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</si>
  <si>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</si>
  <si>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</si>
  <si>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</si>
  <si>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</si>
  <si>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</si>
  <si>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</si>
  <si>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</si>
  <si>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</si>
  <si>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</si>
  <si>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</si>
  <si>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</si>
  <si>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</si>
  <si>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</si>
  <si>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</si>
  <si>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</si>
  <si>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</si>
  <si>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</si>
  <si>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</si>
  <si>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</si>
  <si>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</si>
  <si>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</si>
  <si>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</si>
  <si>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</si>
  <si>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</si>
  <si>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</si>
  <si>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</si>
  <si>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</si>
  <si>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</si>
  <si>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</si>
  <si>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</si>
  <si>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</si>
  <si>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</si>
  <si>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</si>
  <si>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</si>
  <si>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</si>
  <si>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</si>
  <si>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</si>
  <si>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</si>
  <si>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</si>
  <si>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</si>
  <si>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</si>
  <si>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</si>
  <si>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</si>
  <si>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</si>
  <si>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</si>
  <si>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</si>
  <si>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</si>
  <si>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</si>
  <si>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</si>
  <si>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</si>
  <si>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</si>
  <si>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</si>
  <si>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</si>
  <si>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</si>
  <si>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</si>
  <si>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</si>
  <si>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</si>
  <si>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</si>
  <si>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</si>
  <si>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</si>
  <si>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</si>
  <si>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</si>
  <si>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</si>
  <si>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</si>
  <si>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</si>
  <si>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</si>
  <si>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</si>
  <si>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</si>
  <si>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</si>
  <si>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</si>
  <si>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</si>
  <si>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</si>
  <si>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</si>
  <si>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</si>
  <si>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</si>
  <si>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</si>
  <si>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</si>
  <si>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</si>
  <si>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</si>
  <si>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</si>
  <si>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</si>
  <si>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</si>
  <si>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</si>
  <si>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</si>
  <si>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</si>
  <si>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</si>
  <si>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</si>
  <si>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</si>
  <si>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</si>
  <si>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</si>
  <si>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</si>
  <si>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</si>
  <si>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</si>
  <si>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</si>
  <si>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</si>
  <si>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</si>
  <si>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</si>
  <si>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</si>
  <si>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</si>
  <si>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</si>
  <si>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</si>
  <si>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</si>
  <si>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</si>
  <si>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</si>
  <si>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</si>
  <si>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</si>
  <si>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</si>
  <si>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</si>
  <si>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</si>
  <si>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</si>
  <si>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</si>
  <si>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</si>
  <si>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</si>
  <si>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</si>
  <si>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</si>
  <si>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</si>
  <si>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</si>
  <si>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</si>
  <si>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</si>
  <si>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</si>
  <si>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</si>
  <si>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</si>
  <si>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</si>
  <si>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</si>
  <si>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</si>
  <si>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</si>
  <si>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</si>
  <si>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</si>
  <si>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</si>
  <si>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</si>
  <si>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</si>
  <si>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</si>
  <si>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</si>
  <si>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</si>
  <si>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</si>
  <si>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</si>
  <si>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</si>
  <si>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</si>
  <si>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</si>
  <si>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</si>
  <si>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</si>
  <si>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</si>
  <si>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</si>
  <si>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</si>
  <si>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</si>
  <si>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</si>
  <si>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</si>
  <si>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</si>
  <si>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</si>
  <si>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</si>
  <si>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</si>
  <si>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</si>
  <si>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</si>
  <si>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</si>
  <si>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</si>
  <si>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</si>
  <si>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</si>
  <si>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</si>
  <si>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</si>
  <si>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</si>
  <si>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</si>
  <si>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</si>
  <si>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</si>
  <si>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</si>
  <si>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</si>
  <si>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</si>
  <si>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</si>
  <si>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</si>
  <si>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</si>
  <si>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</si>
  <si>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</si>
  <si>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</si>
  <si>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</si>
  <si>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</si>
  <si>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</si>
  <si>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</si>
  <si>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</si>
  <si>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</si>
  <si>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</si>
  <si>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</si>
  <si>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</si>
  <si>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</si>
  <si>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</si>
  <si>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</si>
  <si>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</si>
  <si>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</si>
  <si>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</si>
  <si>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</si>
  <si>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</si>
  <si>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</si>
  <si>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</si>
  <si>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</si>
  <si>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</si>
  <si>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</si>
  <si>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</si>
  <si>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</si>
  <si>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</si>
  <si>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</si>
  <si>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</si>
  <si>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</si>
  <si>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</si>
  <si>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</si>
  <si>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</si>
  <si>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</si>
  <si>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</si>
  <si>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</si>
  <si>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</si>
  <si>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</si>
  <si>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</si>
  <si>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</si>
  <si>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</si>
  <si>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</si>
  <si>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</si>
  <si>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</si>
  <si>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</si>
  <si>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</si>
  <si>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</si>
  <si>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</si>
  <si>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</si>
  <si>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</si>
  <si>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</si>
  <si>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</si>
  <si>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</si>
  <si>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</si>
  <si>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</si>
  <si>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</si>
  <si>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</si>
  <si>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</si>
  <si>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</si>
  <si>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</si>
  <si>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</si>
  <si>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</si>
  <si>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</si>
  <si>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</si>
  <si>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</si>
  <si>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</si>
  <si>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</si>
  <si>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</si>
  <si>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</si>
  <si>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</si>
  <si>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</si>
  <si>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</si>
  <si>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</si>
  <si>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</si>
  <si>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</si>
  <si>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</si>
  <si>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</si>
  <si>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</si>
  <si>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</si>
  <si>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</si>
  <si>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</si>
  <si>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</si>
  <si>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</si>
  <si>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</si>
  <si>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</si>
  <si>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</si>
  <si>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</si>
  <si>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</si>
  <si>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</si>
  <si>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</si>
  <si>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</si>
  <si>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</si>
  <si>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</si>
  <si>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</si>
  <si>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</si>
  <si>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</si>
  <si>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</si>
  <si>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</si>
  <si>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</si>
  <si>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</si>
  <si>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</si>
  <si>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</si>
  <si>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</si>
  <si>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</si>
  <si>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</si>
  <si>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</si>
  <si>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</si>
  <si>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</si>
  <si>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</si>
  <si>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</si>
  <si>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</si>
  <si>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</si>
  <si>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</si>
  <si>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</si>
  <si>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</si>
  <si>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</si>
  <si>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</si>
  <si>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</si>
  <si>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</si>
  <si>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</si>
  <si>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</si>
  <si>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</si>
  <si>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</si>
  <si>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</si>
  <si>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</si>
  <si>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</si>
  <si>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</si>
  <si>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</si>
  <si>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</si>
  <si>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</si>
  <si>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</si>
  <si>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</si>
  <si>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</si>
  <si>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</si>
  <si>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</si>
  <si>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</si>
  <si>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</si>
  <si>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</si>
  <si>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</si>
  <si>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</si>
  <si>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</si>
  <si>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</si>
  <si>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</si>
  <si>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</si>
  <si>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</si>
  <si>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</si>
  <si>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</si>
  <si>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</si>
  <si>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</si>
  <si>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</si>
  <si>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</si>
  <si>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</si>
  <si>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</si>
  <si>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</si>
  <si>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</si>
  <si>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</si>
  <si>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</si>
  <si>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</si>
  <si>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</si>
  <si>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</si>
  <si>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</si>
  <si>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</si>
  <si>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</si>
  <si>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</si>
  <si>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</si>
  <si>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</si>
  <si>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</si>
  <si>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</si>
  <si>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</si>
  <si>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</si>
  <si>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</si>
  <si>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</si>
  <si>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</si>
  <si>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</si>
  <si>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</si>
  <si>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</si>
  <si>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</si>
  <si>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</si>
  <si>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</si>
  <si>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</si>
  <si>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</si>
  <si>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</si>
  <si>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</si>
  <si>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</si>
  <si>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</si>
  <si>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</si>
  <si>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</si>
  <si>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</si>
  <si>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</si>
  <si>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</si>
  <si>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</si>
  <si>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</si>
  <si>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</si>
  <si>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</si>
  <si>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</si>
  <si>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</si>
  <si>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</si>
  <si>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</si>
  <si>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</si>
  <si>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</si>
  <si>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</si>
  <si>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</si>
  <si>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</si>
  <si>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</si>
  <si>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</si>
  <si>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</si>
  <si>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</si>
  <si>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</si>
  <si>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</si>
  <si>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</si>
  <si>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</si>
  <si>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</si>
  <si>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</si>
  <si>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</si>
  <si>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</si>
  <si>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</si>
  <si>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</si>
  <si>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</si>
  <si>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</si>
  <si>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</si>
  <si>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</si>
  <si>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</si>
  <si>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</si>
  <si>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</si>
  <si>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</si>
  <si>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</si>
  <si>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</si>
  <si>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</si>
  <si>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</si>
  <si>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</si>
  <si>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</si>
  <si>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</si>
  <si>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</si>
  <si>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</si>
  <si>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</si>
  <si>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</si>
  <si>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</si>
  <si>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</si>
  <si>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</si>
  <si>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</si>
  <si>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</si>
  <si>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</si>
  <si>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</si>
  <si>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</si>
  <si>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</si>
  <si>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</si>
  <si>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</si>
  <si>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</si>
  <si>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</si>
  <si>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</si>
  <si>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</si>
  <si>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</si>
  <si>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</si>
  <si>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</si>
  <si>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</si>
  <si>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</si>
  <si>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</si>
  <si>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</si>
  <si>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</si>
  <si>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</si>
  <si>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</si>
  <si>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</si>
  <si>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</si>
  <si>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</si>
  <si>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</si>
  <si>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</si>
  <si>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</si>
  <si>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</si>
  <si>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</si>
  <si>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</si>
  <si>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</si>
  <si>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</si>
  <si>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</si>
  <si>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</si>
  <si>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</si>
  <si>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</si>
  <si>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</si>
  <si>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</si>
  <si>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</si>
  <si>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</si>
  <si>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</si>
  <si>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</si>
  <si>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</si>
  <si>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</si>
  <si>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</si>
  <si>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</si>
  <si>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</si>
  <si>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</si>
  <si>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</si>
  <si>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</si>
  <si>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</si>
  <si>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</si>
  <si>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</si>
  <si>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</si>
  <si>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</si>
  <si>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</si>
  <si>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</si>
  <si>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</si>
  <si>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</si>
  <si>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</si>
  <si>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</si>
  <si>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</si>
  <si>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</si>
  <si>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</si>
  <si>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</si>
  <si>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</si>
  <si>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</si>
  <si>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</si>
  <si>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</si>
  <si>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</si>
  <si>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</si>
  <si>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</si>
  <si>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</si>
  <si>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</si>
  <si>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</si>
  <si>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</si>
  <si>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</si>
  <si>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</si>
  <si>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</si>
  <si>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</si>
  <si>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</si>
  <si>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</si>
  <si>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</si>
  <si>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</si>
  <si>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</si>
  <si>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</si>
  <si>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</si>
  <si>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</si>
  <si>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</si>
  <si>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</si>
  <si>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</si>
  <si>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</si>
  <si>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</si>
  <si>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</si>
  <si>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</si>
  <si>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</si>
  <si>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</si>
  <si>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</si>
  <si>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</si>
  <si>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</si>
  <si>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</si>
  <si>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</si>
  <si>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</si>
  <si>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</si>
  <si>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</si>
  <si>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</si>
  <si>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</si>
  <si>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</si>
  <si>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</si>
  <si>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</si>
  <si>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</si>
  <si>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</si>
  <si>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</si>
  <si>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</si>
  <si>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</si>
  <si>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</si>
  <si>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</si>
  <si>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</si>
  <si>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</si>
  <si>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</si>
  <si>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</si>
  <si>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</si>
  <si>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</si>
  <si>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</si>
  <si>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</si>
  <si>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</si>
  <si>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</si>
  <si>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</si>
  <si>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</si>
  <si>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</si>
  <si>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</si>
  <si>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</si>
  <si>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</si>
  <si>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</si>
  <si>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</si>
  <si>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</si>
  <si>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</si>
  <si>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</si>
  <si>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</si>
  <si>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</si>
  <si>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</si>
  <si>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</si>
  <si>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</si>
  <si>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</si>
  <si>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</si>
  <si>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</si>
  <si>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</si>
  <si>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</si>
  <si>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</si>
  <si>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</si>
  <si>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</si>
  <si>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</si>
  <si>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</si>
  <si>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</si>
  <si>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</si>
  <si>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</si>
  <si>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</si>
  <si>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</si>
  <si>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</si>
  <si>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</si>
  <si>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</si>
  <si>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</si>
  <si>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</si>
  <si>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</si>
  <si>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</si>
  <si>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</si>
  <si>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</si>
  <si>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</si>
  <si>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</si>
  <si>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</si>
  <si>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</si>
  <si>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</si>
  <si>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</si>
  <si>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</si>
  <si>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</si>
  <si>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</si>
  <si>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</si>
  <si>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</si>
  <si>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</si>
  <si>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</si>
  <si>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</si>
  <si>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</si>
  <si>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</si>
  <si>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</si>
  <si>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</si>
  <si>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</si>
  <si>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</si>
  <si>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</si>
  <si>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</si>
  <si>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</si>
  <si>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</si>
  <si>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</si>
  <si>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</si>
  <si>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</si>
  <si>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</si>
  <si>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</si>
  <si>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</si>
  <si>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</si>
  <si>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</si>
  <si>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</si>
  <si>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</si>
  <si>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</si>
  <si>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</si>
  <si>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</si>
  <si>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</si>
  <si>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</si>
  <si>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</si>
  <si>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</si>
  <si>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</si>
  <si>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</si>
  <si>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</si>
  <si>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</si>
  <si>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</si>
  <si>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</si>
  <si>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</si>
  <si>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</si>
  <si>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</si>
  <si>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</si>
  <si>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</si>
  <si>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</si>
  <si>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</si>
  <si>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</si>
  <si>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</si>
  <si>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</si>
  <si>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</si>
  <si>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</si>
  <si>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</si>
  <si>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</si>
  <si>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</si>
  <si>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</si>
  <si>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</si>
  <si>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</si>
  <si>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</si>
  <si>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</si>
  <si>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</si>
  <si>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</si>
  <si>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</si>
  <si>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</si>
  <si>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</si>
  <si>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</si>
  <si>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</si>
  <si>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</si>
  <si>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</si>
  <si>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</si>
  <si>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</si>
  <si>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</si>
  <si>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</si>
  <si>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</si>
  <si>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</si>
  <si>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</si>
  <si>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</si>
  <si>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</si>
  <si>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</si>
  <si>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</si>
  <si>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</si>
  <si>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</si>
  <si>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</si>
  <si>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</si>
  <si>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</si>
  <si>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</si>
  <si>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</si>
  <si>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</si>
  <si>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</si>
  <si>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</si>
  <si>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</si>
  <si>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</si>
  <si>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</si>
  <si>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</si>
  <si>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</si>
  <si>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</si>
  <si>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</si>
  <si>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</si>
  <si>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</si>
  <si>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</si>
  <si>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</si>
  <si>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</si>
  <si>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</si>
  <si>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</si>
  <si>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</si>
  <si>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</si>
  <si>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</si>
  <si>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</si>
  <si>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</si>
  <si>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</si>
  <si>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</si>
  <si>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</si>
  <si>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</si>
  <si>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</si>
  <si>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</si>
  <si>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</si>
  <si>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</si>
  <si>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</si>
  <si>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</si>
  <si>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</si>
  <si>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</si>
  <si>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</si>
  <si>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</si>
  <si>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</si>
  <si>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</si>
  <si>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</si>
  <si>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</si>
  <si>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</si>
  <si>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</si>
  <si>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</si>
  <si>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</si>
  <si>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</si>
  <si>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</si>
  <si>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</si>
  <si>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</si>
  <si>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</si>
  <si>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</si>
  <si>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</si>
  <si>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</si>
  <si>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</si>
  <si>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</si>
  <si>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</si>
  <si>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</si>
  <si>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</si>
  <si>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</si>
  <si>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</si>
  <si>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</si>
  <si>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</si>
  <si>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</si>
  <si>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</si>
  <si>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</si>
  <si>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</si>
  <si>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</si>
  <si>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</si>
  <si>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</si>
  <si>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</si>
  <si>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</si>
  <si>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</si>
  <si>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</si>
  <si>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</si>
  <si>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</si>
  <si>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</si>
  <si>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</si>
  <si>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</si>
  <si>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</si>
  <si>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</si>
  <si>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</si>
  <si>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</si>
  <si>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</si>
  <si>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</si>
  <si>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</si>
  <si>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</si>
  <si>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</si>
  <si>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</si>
  <si>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</si>
  <si>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</si>
  <si>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</si>
  <si>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</si>
  <si>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</si>
  <si>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</si>
  <si>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</si>
  <si>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</si>
  <si>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</si>
  <si>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</si>
  <si>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</si>
  <si>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</si>
  <si>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</si>
  <si>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</si>
  <si>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</si>
  <si>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</si>
  <si>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</si>
  <si>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</si>
  <si>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</si>
  <si>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</si>
  <si>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</si>
  <si>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</si>
  <si>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</si>
  <si>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</si>
  <si>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</si>
  <si>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</si>
  <si>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</si>
  <si>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</si>
  <si>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</si>
  <si>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</si>
  <si>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</si>
  <si>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</si>
  <si>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</si>
  <si>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</si>
  <si>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</si>
  <si>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</si>
  <si>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</si>
  <si>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</si>
  <si>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</si>
  <si>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</si>
  <si>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</si>
  <si>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</si>
  <si>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</si>
  <si>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</si>
  <si>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</si>
  <si>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</si>
  <si>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</si>
  <si>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</si>
  <si>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</si>
  <si>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</si>
  <si>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</si>
  <si>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</si>
  <si>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</si>
  <si>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</si>
  <si>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</si>
  <si>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</si>
  <si>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</si>
  <si>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</si>
  <si>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</si>
  <si>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</si>
  <si>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</si>
  <si>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</si>
  <si>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</si>
  <si>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</si>
  <si>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</si>
  <si>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</si>
  <si>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</si>
  <si>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</si>
  <si>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</si>
  <si>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</si>
  <si>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</si>
  <si>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</si>
  <si>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</si>
  <si>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</si>
  <si>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</si>
  <si>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</si>
  <si>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</si>
  <si>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</si>
  <si>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</si>
  <si>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</si>
  <si>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</si>
  <si>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</si>
  <si>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</si>
  <si>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</si>
  <si>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</si>
  <si>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</si>
  <si>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</si>
  <si>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</si>
  <si>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</si>
  <si>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</si>
  <si>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</si>
  <si>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</si>
  <si>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</si>
  <si>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</si>
  <si>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</si>
  <si>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</si>
  <si>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</si>
  <si>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</si>
  <si>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</si>
  <si>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</si>
  <si>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</si>
  <si>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</si>
  <si>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</si>
  <si>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</si>
  <si>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</si>
  <si>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</si>
  <si>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</si>
  <si>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</si>
  <si>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</si>
  <si>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</si>
  <si>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</si>
  <si>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</si>
  <si>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</si>
  <si>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</si>
  <si>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</si>
  <si>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</si>
  <si>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</si>
  <si>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</si>
  <si>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</si>
  <si>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</si>
  <si>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</si>
  <si>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</si>
  <si>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</si>
  <si>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</si>
  <si>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</si>
  <si>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</si>
  <si>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</si>
  <si>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</si>
  <si>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</si>
  <si>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</si>
  <si>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</si>
  <si>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</si>
  <si>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</si>
  <si>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</si>
  <si>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</si>
  <si>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</si>
  <si>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</si>
  <si>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</si>
  <si>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</si>
  <si>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</si>
  <si>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</si>
  <si>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</si>
  <si>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</si>
  <si>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</si>
  <si>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</si>
  <si>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</si>
  <si>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</si>
  <si>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</si>
  <si>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</si>
  <si>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</si>
  <si>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</si>
  <si>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</si>
  <si>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</si>
  <si>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</si>
  <si>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</si>
  <si>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</si>
  <si>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</si>
  <si>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</si>
  <si>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</si>
  <si>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</si>
  <si>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</si>
  <si>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</si>
  <si>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</si>
  <si>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</si>
  <si>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</si>
  <si>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</si>
  <si>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</si>
  <si>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</si>
  <si>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</si>
  <si>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</si>
  <si>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</si>
  <si>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</si>
  <si>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</si>
  <si>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</si>
  <si>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</si>
  <si>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</si>
  <si>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</si>
  <si>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</si>
  <si>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</si>
  <si>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</si>
  <si>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</si>
  <si>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</si>
  <si>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</si>
  <si>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</si>
  <si>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</si>
  <si>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</si>
  <si>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</si>
  <si>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</si>
  <si>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</si>
  <si>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</si>
  <si>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</si>
  <si>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</si>
  <si>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</si>
  <si>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</si>
  <si>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</si>
  <si>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</si>
  <si>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</si>
  <si>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</si>
  <si>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</si>
  <si>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</si>
  <si>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</si>
  <si>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</si>
  <si>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</si>
  <si>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</si>
  <si>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</si>
  <si>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</si>
  <si>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</si>
  <si>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</si>
  <si>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</si>
  <si>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</si>
  <si>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</si>
  <si>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</si>
  <si>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</si>
  <si>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</si>
  <si>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</si>
  <si>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</si>
  <si>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</si>
  <si>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</si>
  <si>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</si>
  <si>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</si>
  <si>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</si>
  <si>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</si>
  <si>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</si>
  <si>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</si>
  <si>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</si>
  <si>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</si>
  <si>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</si>
  <si>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</si>
  <si>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</si>
  <si>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</si>
  <si>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</si>
  <si>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</si>
  <si>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</si>
  <si>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</si>
  <si>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</si>
  <si>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</si>
  <si>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</si>
  <si>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</si>
  <si>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</si>
  <si>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</si>
  <si>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</si>
  <si>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</si>
  <si>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</si>
  <si>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</si>
  <si>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</si>
  <si>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</si>
  <si>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</si>
  <si>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</si>
  <si>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</si>
  <si>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</si>
  <si>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</si>
  <si>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</si>
  <si>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</si>
  <si>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</si>
  <si>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</si>
  <si>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</si>
  <si>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</si>
  <si>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</si>
  <si>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</si>
  <si>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</si>
  <si>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</si>
  <si>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</si>
  <si>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</si>
  <si>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</si>
  <si>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</si>
  <si>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</si>
  <si>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</si>
  <si>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</si>
  <si>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</si>
  <si>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</si>
  <si>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</si>
  <si>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</si>
  <si>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</si>
  <si>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</si>
  <si>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</si>
  <si>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</si>
  <si>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</si>
  <si>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</si>
  <si>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</si>
  <si>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</si>
  <si>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</si>
  <si>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</si>
  <si>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</si>
  <si>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</si>
  <si>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</si>
  <si>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</si>
  <si>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</si>
  <si>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</si>
  <si>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</si>
  <si>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</si>
  <si>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</si>
  <si>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</si>
  <si>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</si>
  <si>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</si>
  <si>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</si>
  <si>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</si>
  <si>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</si>
  <si>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</si>
  <si>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Dom športu, s.r.o. Bratislava</t>
  </si>
  <si>
    <t>35862289</t>
  </si>
  <si>
    <t>VU2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</si>
</sst>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45716</v>
      </c>
      <c r="D1" s="26"/>
      <c r="G1" s="252">
        <v>45688</v>
      </c>
    </row>
    <row r="2" spans="1:7" ht="15" x14ac:dyDescent="0.25">
      <c r="A2" s="28"/>
      <c r="B2" s="28"/>
      <c r="G2" s="252">
        <v>45716</v>
      </c>
    </row>
    <row r="3" spans="1:7" ht="14.25" x14ac:dyDescent="0.2">
      <c r="A3" s="30" t="s">
        <v>312</v>
      </c>
      <c r="B3" s="326" t="str">
        <f>INDEX(Adr!B:B,Doklady!B102+1)</f>
        <v>SLOVENSKÁ JAZDECKÁ FEDERÁCIA</v>
      </c>
      <c r="C3" s="326"/>
      <c r="D3" s="326"/>
      <c r="G3" s="252">
        <v>45747</v>
      </c>
    </row>
    <row r="4" spans="1:7" ht="14.25" x14ac:dyDescent="0.2">
      <c r="A4" s="30" t="s">
        <v>313</v>
      </c>
      <c r="B4" s="29" t="str">
        <f>RIGHT("0000"&amp;INDEX(Adr!A:A,Doklady!B102+1),8)</f>
        <v>31787801</v>
      </c>
      <c r="G4" s="252">
        <v>45777</v>
      </c>
    </row>
    <row r="5" spans="1:7" ht="14.25" x14ac:dyDescent="0.2">
      <c r="A5" s="30" t="s">
        <v>314</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49618</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49618</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
      <c r="B3" s="160" t="s">
        <v>59</v>
      </c>
      <c r="C3" s="339" t="str">
        <f>INDEX(Adr!B2:B80,Doklady!B102)</f>
        <v>SLOVENSKÁ JAZDECKÁ FEDERÁCIA</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31787801</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2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5">
      <c r="A11" s="69" t="s">
        <v>319</v>
      </c>
      <c r="B11" s="70" t="s">
        <v>320</v>
      </c>
      <c r="C11" s="126">
        <f>SUMIF(FP!J:J,Doklady!$B$1&amp;A11,FP!D:D)</f>
        <v>198470</v>
      </c>
      <c r="D11" s="126">
        <f>+C11-E11</f>
        <v>9185.6499999999942</v>
      </c>
      <c r="E11" s="342">
        <f>+I39-I42+I44-I47</f>
        <v>189284.35</v>
      </c>
      <c r="F11" s="343"/>
      <c r="J11" s="176"/>
      <c r="L11" s="161" t="str">
        <f>L41</f>
        <v>a - jazdectvo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31">
        <f>SUMIF(K:K,A12,I:I)</f>
        <v>0</v>
      </c>
      <c r="F12" s="332"/>
      <c r="J12" s="177"/>
      <c r="L12" s="161" t="str">
        <f>L42</f>
        <v>a - jazdectvo - kapitálové transfery</v>
      </c>
      <c r="N12" s="118"/>
      <c r="O12" s="118"/>
      <c r="P12" s="118"/>
      <c r="Q12" s="118"/>
      <c r="R12" s="118"/>
      <c r="S12" s="118"/>
    </row>
    <row r="13" spans="1:26" ht="18" x14ac:dyDescent="0.2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198470</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356</v>
      </c>
      <c r="C25" s="348"/>
      <c r="D25" s="348"/>
      <c r="E25" s="348"/>
      <c r="F25" s="348"/>
      <c r="G25" s="348"/>
      <c r="H25" s="349"/>
      <c r="I25" s="73">
        <f>SUMIF(FP!I:I,Doklady!$B$1&amp;A25,FP!D:D)</f>
        <v>0</v>
      </c>
      <c r="T25" s="86"/>
    </row>
    <row r="26" spans="1:20" x14ac:dyDescent="0.2">
      <c r="A26" s="135" t="s">
        <v>357</v>
      </c>
      <c r="B26" s="335" t="s">
        <v>358</v>
      </c>
      <c r="C26" s="336"/>
      <c r="D26" s="336"/>
      <c r="E26" s="336"/>
      <c r="F26" s="336"/>
      <c r="G26" s="336"/>
      <c r="H26" s="337"/>
      <c r="I26" s="73">
        <f>SUMIF(FP!I:I,Doklady!$B$1&amp;A26,FP!D:D)</f>
        <v>0</v>
      </c>
      <c r="T26" s="86"/>
    </row>
    <row r="27" spans="1:20" x14ac:dyDescent="0.2">
      <c r="A27" s="115" t="s">
        <v>359</v>
      </c>
      <c r="B27" s="335" t="s">
        <v>360</v>
      </c>
      <c r="C27" s="336"/>
      <c r="D27" s="336"/>
      <c r="E27" s="336"/>
      <c r="F27" s="336"/>
      <c r="G27" s="336"/>
      <c r="H27" s="337"/>
      <c r="I27" s="73">
        <f>SUMIF(FP!I:I,Doklady!$B$1&amp;A27,FP!D:D)</f>
        <v>0</v>
      </c>
      <c r="T27" s="86"/>
    </row>
    <row r="28" spans="1:20" x14ac:dyDescent="0.2">
      <c r="A28" s="135" t="s">
        <v>361</v>
      </c>
      <c r="B28" s="335" t="s">
        <v>362</v>
      </c>
      <c r="C28" s="336"/>
      <c r="D28" s="336"/>
      <c r="E28" s="336"/>
      <c r="F28" s="336"/>
      <c r="G28" s="336"/>
      <c r="H28" s="337"/>
      <c r="I28" s="73">
        <f>SUMIF(FP!I:I,Doklady!$B$1&amp;A28,FP!D:D)</f>
        <v>0</v>
      </c>
      <c r="T28" s="86"/>
    </row>
    <row r="29" spans="1:20" x14ac:dyDescent="0.2">
      <c r="A29" s="115" t="s">
        <v>363</v>
      </c>
      <c r="B29" s="335" t="s">
        <v>364</v>
      </c>
      <c r="C29" s="336"/>
      <c r="D29" s="336"/>
      <c r="E29" s="336"/>
      <c r="F29" s="336"/>
      <c r="G29" s="336"/>
      <c r="H29" s="337"/>
      <c r="I29" s="73">
        <f>SUMIF(FP!I:I,Doklady!$B$1&amp;A29,FP!D:D)</f>
        <v>0</v>
      </c>
      <c r="T29" s="86"/>
    </row>
    <row r="30" spans="1:20" hidden="1" x14ac:dyDescent="0.2">
      <c r="A30" s="135" t="s">
        <v>365</v>
      </c>
      <c r="B30" s="335"/>
      <c r="C30" s="336"/>
      <c r="D30" s="336"/>
      <c r="E30" s="336"/>
      <c r="F30" s="336"/>
      <c r="G30" s="336"/>
      <c r="H30" s="337"/>
      <c r="I30" s="73">
        <f>SUMIF(FP!I:I,Doklady!$B$1&amp;A30,FP!D:D)</f>
        <v>0</v>
      </c>
      <c r="T30" s="86"/>
    </row>
    <row r="31" spans="1:20" hidden="1" x14ac:dyDescent="0.2">
      <c r="A31" s="115" t="s">
        <v>366</v>
      </c>
      <c r="B31" s="335"/>
      <c r="C31" s="336"/>
      <c r="D31" s="336"/>
      <c r="E31" s="336"/>
      <c r="F31" s="336"/>
      <c r="G31" s="336"/>
      <c r="H31" s="337"/>
      <c r="I31" s="73">
        <f>SUMIF(FP!I:I,Doklady!$B$1&amp;A31,FP!D:D)</f>
        <v>0</v>
      </c>
      <c r="T31" s="86"/>
    </row>
    <row r="32" spans="1:20" hidden="1" x14ac:dyDescent="0.2">
      <c r="A32" s="135" t="s">
        <v>367</v>
      </c>
      <c r="B32" s="357"/>
      <c r="C32" s="358"/>
      <c r="D32" s="358"/>
      <c r="E32" s="358"/>
      <c r="F32" s="358"/>
      <c r="G32" s="358"/>
      <c r="H32" s="359"/>
      <c r="I32" s="73">
        <f>SUMIF(FP!I:I,Doklady!$B$1&amp;A32,FP!D:D)</f>
        <v>0</v>
      </c>
      <c r="T32" s="86"/>
    </row>
    <row r="33" spans="1:21" hidden="1" x14ac:dyDescent="0.2">
      <c r="A33" s="115" t="s">
        <v>368</v>
      </c>
      <c r="B33" s="357"/>
      <c r="C33" s="358"/>
      <c r="D33" s="358"/>
      <c r="E33" s="358"/>
      <c r="F33" s="358"/>
      <c r="G33" s="358"/>
      <c r="H33" s="359"/>
      <c r="I33" s="73">
        <f>SUMIF(FP!I:I,Doklady!$B$1&amp;A33,FP!D:D)</f>
        <v>0</v>
      </c>
      <c r="T33" s="86"/>
    </row>
    <row r="34" spans="1:21" hidden="1" x14ac:dyDescent="0.2">
      <c r="A34" s="135" t="s">
        <v>369</v>
      </c>
      <c r="B34" s="360"/>
      <c r="C34" s="360"/>
      <c r="D34" s="360"/>
      <c r="E34" s="360"/>
      <c r="F34" s="360"/>
      <c r="G34" s="360"/>
      <c r="H34" s="360"/>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jazdectvo</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39694</v>
      </c>
      <c r="G39" s="78">
        <f>+MAX(I39-C39-D39-E39-F39-H39,0)</f>
        <v>158776</v>
      </c>
      <c r="H39" s="78">
        <f>+IFERROR(VLOOKUP(K40&amp;" - kapitálové transfery",B$53:C$90,2,0),0)</f>
        <v>0</v>
      </c>
      <c r="I39" s="73">
        <f>SUMIF(FP!K:K,K40,FP!D:D)</f>
        <v>198470</v>
      </c>
      <c r="L39" s="84">
        <f>COUNTIF(FP!N:N,Doklady!B1&amp;"aK")</f>
        <v>0</v>
      </c>
      <c r="T39" s="86"/>
    </row>
    <row r="40" spans="1:21" x14ac:dyDescent="0.2">
      <c r="A40" s="115" t="s">
        <v>339</v>
      </c>
      <c r="B40" s="116" t="s">
        <v>378</v>
      </c>
      <c r="C40" s="78">
        <f>DSUM(Doklady!A103:J10000,"GGG",Spolu!L40:M42)</f>
        <v>0</v>
      </c>
      <c r="D40" s="78">
        <f>DSUM(Doklady!A103:J10000,"GGG",Spolu!N40:O42)</f>
        <v>0</v>
      </c>
      <c r="E40" s="78">
        <f>DSUM(Doklady!A103:J10000,"GGG",Spolu!P40:Q42)</f>
        <v>0</v>
      </c>
      <c r="F40" s="78">
        <f>DSUM(Doklady!A103:J10000,"GGG",Spolu!R40:S42)</f>
        <v>9185.65</v>
      </c>
      <c r="G40" s="78">
        <f>DSUM(Doklady!A103:J10000,"GGG",Spolu!T40:U42)-H40</f>
        <v>0</v>
      </c>
      <c r="H40" s="78">
        <f>+IFERROR(VLOOKUP(K40&amp;" - kapitálové transfery",B$53:D$90,3,0),0)</f>
        <v>0</v>
      </c>
      <c r="I40" s="73">
        <f>+C40+D40+E40+F40+G40+H40</f>
        <v>9185.65</v>
      </c>
      <c r="J40" s="218" t="str">
        <f>+K45</f>
        <v>.</v>
      </c>
      <c r="K40" s="218" t="str">
        <f>IF(L38&gt;0,INDEX(FP!K:K,Doklady!B2),".")</f>
        <v>jazdectvo</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189284.35</v>
      </c>
      <c r="J41" s="219">
        <f>+K46</f>
        <v>0</v>
      </c>
      <c r="K41" s="219">
        <f>+I41-H41</f>
        <v>189284.35</v>
      </c>
      <c r="L41" s="161" t="str">
        <f>IF(L38&gt;0,"a - "&amp;INDEX(FP!C:C,Doklady!B2),2)</f>
        <v>a - jazdectvo - bežné transfery</v>
      </c>
      <c r="M41" s="120">
        <v>1</v>
      </c>
      <c r="N41" s="161" t="str">
        <f>+L41</f>
        <v>a - jazdectvo - bežné transfery</v>
      </c>
      <c r="O41" s="120">
        <v>2</v>
      </c>
      <c r="P41" s="161" t="str">
        <f>+L41</f>
        <v>a - jazdectvo - bežné transfery</v>
      </c>
      <c r="Q41" s="120">
        <v>3</v>
      </c>
      <c r="R41" s="161" t="str">
        <f>+L41</f>
        <v>a - jazdectvo - bežné transfery</v>
      </c>
      <c r="S41" s="120">
        <v>4</v>
      </c>
      <c r="T41" s="161" t="str">
        <f>+L41</f>
        <v>a - jazdectvo - bežné transfery</v>
      </c>
      <c r="U41" s="120">
        <v>5</v>
      </c>
    </row>
    <row r="42" spans="1:21" ht="10.5" customHeight="1" x14ac:dyDescent="0.2">
      <c r="A42" s="115" t="s">
        <v>339</v>
      </c>
      <c r="B42" s="116" t="s">
        <v>381</v>
      </c>
      <c r="C42" s="73">
        <f>+C40</f>
        <v>0</v>
      </c>
      <c r="D42" s="216">
        <f>+D40</f>
        <v>0</v>
      </c>
      <c r="E42" s="216">
        <f>+E40</f>
        <v>0</v>
      </c>
      <c r="F42" s="216">
        <f>+MIN(F39:F40)</f>
        <v>9185.65</v>
      </c>
      <c r="G42" s="216">
        <f>+MIN(G39+MAX(F39-F40,0)-MAX(E40-E39,0)-MAX(D40-D39,0)-MAX(C40-C39,0),G40)</f>
        <v>0</v>
      </c>
      <c r="H42" s="216">
        <f>+MIN(H39:H40)</f>
        <v>0</v>
      </c>
      <c r="I42" s="73">
        <f>+C42+D42+E42+MIN(F39:F40)+G42+H42</f>
        <v>9185.65</v>
      </c>
      <c r="J42" s="219">
        <f>+K47</f>
        <v>0</v>
      </c>
      <c r="K42" s="219">
        <f>+I42-H42</f>
        <v>9185.65</v>
      </c>
      <c r="L42" s="161" t="str">
        <f>+SUBSTITUTE(L41,"bežné","kapitálové")</f>
        <v>a - jazdectvo - kapitálové transfery</v>
      </c>
      <c r="M42" s="120">
        <v>1</v>
      </c>
      <c r="N42" s="161" t="str">
        <f>+L42</f>
        <v>a - jazdectvo - kapitálové transfery</v>
      </c>
      <c r="O42" s="120">
        <v>2</v>
      </c>
      <c r="P42" s="161" t="str">
        <f>+L42</f>
        <v>a - jazdectvo - kapitálové transfery</v>
      </c>
      <c r="Q42" s="120">
        <v>3</v>
      </c>
      <c r="R42" s="161" t="str">
        <f>+L42</f>
        <v>a - jazdectvo - kapitálové transfery</v>
      </c>
      <c r="S42" s="120">
        <v>4</v>
      </c>
      <c r="T42" s="161" t="str">
        <f>+L42</f>
        <v>a - jazdectvo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jazdectvo - bežné transfery</v>
      </c>
      <c r="C53" s="73">
        <f>IF(A53&lt;&gt;"",INDEX(FP!D:D,Doklady!B$2+(ROW()-53)),"")</f>
        <v>198470</v>
      </c>
      <c r="D53" s="73">
        <f>IF(A53&lt;&gt;"",Doklady!I1-Doklady!J1,"")</f>
        <v>9185.65</v>
      </c>
      <c r="E53" s="73">
        <f>IF(A53&lt;&gt;"",MIN(D53,C53)*Doklady!C1/(1-Doklady!C1),"")</f>
        <v>0</v>
      </c>
      <c r="F53" s="71">
        <f>IF(A53&lt;&gt;"",Doklady!J1,"")</f>
        <v>0</v>
      </c>
      <c r="G53" s="73">
        <f>+IFERROR(HLOOKUP(IF(RIGHT(B53,15)="bežné transfery",LEFT(B53,LEN(B53)-18),0),$J$40:$K$42,3,0),MIN(C53,D53))</f>
        <v>9185.65</v>
      </c>
      <c r="H53" s="71"/>
      <c r="I53" s="73">
        <f>IF(A53&lt;&gt;"",MAX(IF(G53&lt;C53,C53-G53,0)+IF(F53&lt;E53,E53-F53,0),0),0)</f>
        <v>189284.35</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198470</v>
      </c>
      <c r="D130" s="228">
        <f t="shared" ref="D130:I130" si="9">SUM(D53:D129)</f>
        <v>9185.65</v>
      </c>
      <c r="E130" s="228">
        <f t="shared" si="9"/>
        <v>0</v>
      </c>
      <c r="F130" s="228">
        <f t="shared" si="9"/>
        <v>0</v>
      </c>
      <c r="G130" s="228">
        <f t="shared" si="9"/>
        <v>9185.65</v>
      </c>
      <c r="H130" s="228">
        <f t="shared" si="9"/>
        <v>0</v>
      </c>
      <c r="I130" s="228">
        <f t="shared" si="9"/>
        <v>189284.35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50"/>
      <c r="E140" s="350"/>
      <c r="F140" s="350"/>
      <c r="G140" s="350"/>
      <c r="H140" s="350"/>
      <c r="I140" s="350"/>
      <c r="J140" s="85"/>
    </row>
    <row r="141" spans="1:26" ht="68.25" customHeight="1" x14ac:dyDescent="0.2">
      <c r="A141" s="9"/>
      <c r="B141" s="284" t="s">
        <v>398</v>
      </c>
      <c r="C141" s="214"/>
      <c r="D141" s="330" t="s">
        <v>399</v>
      </c>
      <c r="E141" s="330"/>
      <c r="F141" s="330"/>
      <c r="G141" s="330"/>
      <c r="H141" s="330"/>
      <c r="I141" s="330"/>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D116" sqref="D116"/>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jazdectvo - bežné transfery</v>
      </c>
      <c r="B1" s="232" t="str">
        <f>INDEX(Adr!A:A,B102+1)</f>
        <v>31787801</v>
      </c>
      <c r="C1" s="233">
        <f>IF(ROW()&lt;=B$3,INDEX(FP!E:E,B$2+ROW()-1),"")</f>
        <v>0</v>
      </c>
      <c r="D1" s="234" t="str">
        <f>IF(ROW()&lt;=B$3,INDEX(FP!F:F,B$2+ROW()-1),"")</f>
        <v>a</v>
      </c>
      <c r="E1" s="234"/>
      <c r="F1" s="234" t="str">
        <f>IF(ROW()&lt;=B$3,INDEX(FP!G:G,B$2+ROW()-1),"")</f>
        <v>026 02</v>
      </c>
      <c r="G1" s="234"/>
      <c r="H1" s="235" t="str">
        <f>IF(ROW()&lt;=B$3,INDEX(FP!C:C,B$2+ROW()-1),"")</f>
        <v>jazdectvo - bežné transfery</v>
      </c>
      <c r="I1" s="236">
        <f t="shared" ref="I1:I6" si="0">IF(ROW()&lt;=B$3,SUMIF(A$107:A$10042,A1,I$107:I$10042),"")</f>
        <v>9185.65</v>
      </c>
      <c r="J1" s="236">
        <f t="shared" ref="J1:J32" si="1">IF(ROW()&lt;=B$3,SUMIFS(I$103:I$50042,A$103:A$50042,K1,J$103:J$50042,L1),"")</f>
        <v>0</v>
      </c>
      <c r="K1" s="110" t="str">
        <f>$A1</f>
        <v>a - jazdectvo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24</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19</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1517</v>
      </c>
      <c r="B107" s="14" t="s">
        <v>1518</v>
      </c>
      <c r="C107" s="14" t="s">
        <v>1519</v>
      </c>
      <c r="D107" s="16">
        <v>45688</v>
      </c>
      <c r="E107" s="16"/>
      <c r="F107" s="14" t="s">
        <v>1520</v>
      </c>
      <c r="G107" s="14" t="s">
        <v>1521</v>
      </c>
      <c r="H107" s="14" t="s">
        <v>1522</v>
      </c>
      <c r="I107" s="15">
        <v>5</v>
      </c>
      <c r="J107" s="77">
        <v>4</v>
      </c>
      <c r="K107" s="92"/>
    </row>
    <row r="108" spans="1:25" ht="33.75" x14ac:dyDescent="0.2">
      <c r="A108" s="14" t="s">
        <v>1517</v>
      </c>
      <c r="B108" s="14" t="s">
        <v>1523</v>
      </c>
      <c r="C108" s="14" t="s">
        <v>1524</v>
      </c>
      <c r="D108" s="16">
        <v>45693</v>
      </c>
      <c r="E108" s="16"/>
      <c r="F108" s="14" t="s">
        <v>1525</v>
      </c>
      <c r="G108" s="14"/>
      <c r="H108" s="14" t="s">
        <v>1526</v>
      </c>
      <c r="I108" s="15">
        <v>6545.93</v>
      </c>
      <c r="J108" s="77">
        <v>4</v>
      </c>
      <c r="K108" s="92"/>
    </row>
    <row r="109" spans="1:25" ht="12.75" x14ac:dyDescent="0.2">
      <c r="A109" s="14" t="s">
        <v>1517</v>
      </c>
      <c r="B109" s="14" t="s">
        <v>1518</v>
      </c>
      <c r="C109" s="14" t="s">
        <v>1519</v>
      </c>
      <c r="D109" s="16">
        <v>45693</v>
      </c>
      <c r="E109" s="16"/>
      <c r="F109" s="14" t="s">
        <v>1527</v>
      </c>
      <c r="G109" s="14" t="s">
        <v>1521</v>
      </c>
      <c r="H109" s="14" t="s">
        <v>1522</v>
      </c>
      <c r="I109" s="15">
        <v>30</v>
      </c>
      <c r="J109" s="77">
        <v>4</v>
      </c>
      <c r="K109" s="92"/>
    </row>
    <row r="110" spans="1:25" ht="22.5" x14ac:dyDescent="0.2">
      <c r="A110" s="14" t="s">
        <v>1517</v>
      </c>
      <c r="B110" s="14" t="s">
        <v>1528</v>
      </c>
      <c r="C110" s="14" t="s">
        <v>1529</v>
      </c>
      <c r="D110" s="16">
        <v>45693</v>
      </c>
      <c r="E110" s="16"/>
      <c r="F110" s="14" t="s">
        <v>1530</v>
      </c>
      <c r="G110" s="14"/>
      <c r="H110" s="14" t="s">
        <v>1531</v>
      </c>
      <c r="I110" s="15">
        <v>2250</v>
      </c>
      <c r="J110" s="77">
        <v>4</v>
      </c>
      <c r="K110" s="92"/>
    </row>
    <row r="111" spans="1:25" ht="22.5" x14ac:dyDescent="0.2">
      <c r="A111" s="14" t="s">
        <v>1517</v>
      </c>
      <c r="B111" s="14" t="s">
        <v>1532</v>
      </c>
      <c r="C111" s="14" t="s">
        <v>1533</v>
      </c>
      <c r="D111" s="16">
        <v>45699</v>
      </c>
      <c r="E111" s="16"/>
      <c r="F111" s="14" t="s">
        <v>1534</v>
      </c>
      <c r="G111" s="14"/>
      <c r="H111" s="14" t="s">
        <v>1535</v>
      </c>
      <c r="I111" s="15">
        <v>191.97</v>
      </c>
      <c r="J111" s="77">
        <v>4</v>
      </c>
      <c r="K111" s="92"/>
    </row>
    <row r="112" spans="1:25" ht="22.5" x14ac:dyDescent="0.2">
      <c r="A112" s="14" t="s">
        <v>1517</v>
      </c>
      <c r="B112" s="14" t="s">
        <v>1536</v>
      </c>
      <c r="C112" s="14" t="s">
        <v>1537</v>
      </c>
      <c r="D112" s="16">
        <v>45707</v>
      </c>
      <c r="E112" s="16"/>
      <c r="F112" s="14" t="s">
        <v>1538</v>
      </c>
      <c r="G112" s="14" t="s">
        <v>1540</v>
      </c>
      <c r="H112" s="14" t="s">
        <v>1539</v>
      </c>
      <c r="I112" s="15">
        <v>157.75</v>
      </c>
      <c r="J112" s="77">
        <v>4</v>
      </c>
      <c r="K112" s="92"/>
    </row>
    <row r="113" spans="1:11" ht="12.75" x14ac:dyDescent="0.2">
      <c r="A113" s="14" t="s">
        <v>1517</v>
      </c>
      <c r="B113" s="14" t="s">
        <v>1541</v>
      </c>
      <c r="C113" s="14" t="s">
        <v>1519</v>
      </c>
      <c r="D113" s="16">
        <v>45716</v>
      </c>
      <c r="E113" s="16"/>
      <c r="F113" s="14" t="s">
        <v>1520</v>
      </c>
      <c r="G113" s="14" t="s">
        <v>1521</v>
      </c>
      <c r="H113" s="14" t="s">
        <v>1522</v>
      </c>
      <c r="I113" s="15">
        <v>5</v>
      </c>
      <c r="J113" s="77">
        <v>4</v>
      </c>
      <c r="K113" s="92"/>
    </row>
    <row r="114" spans="1:11" ht="12.75" x14ac:dyDescent="0.2">
      <c r="A114" s="14"/>
      <c r="B114" s="14"/>
      <c r="C114" s="14"/>
      <c r="D114" s="16"/>
      <c r="E114" s="16"/>
      <c r="F114" s="14"/>
      <c r="G114" s="14"/>
      <c r="H114" s="14"/>
      <c r="I114" s="15"/>
      <c r="J114" s="77"/>
      <c r="K114" s="92"/>
    </row>
    <row r="115" spans="1:11" ht="12.75" x14ac:dyDescent="0.2">
      <c r="A115" s="14"/>
      <c r="B115" s="14"/>
      <c r="C115" s="14"/>
      <c r="D115" s="16"/>
      <c r="E115" s="16"/>
      <c r="F115" s="14"/>
      <c r="G115" s="14"/>
      <c r="H115" s="14"/>
      <c r="I115" s="15"/>
      <c r="J115" s="77"/>
      <c r="K115" s="92"/>
    </row>
    <row r="116" spans="1:11" ht="12.75" x14ac:dyDescent="0.2">
      <c r="A116" s="14"/>
      <c r="B116" s="14"/>
      <c r="C116" s="14"/>
      <c r="D116" s="16"/>
      <c r="E116" s="16"/>
      <c r="F116" s="14"/>
      <c r="G116" s="14"/>
      <c r="H116" s="14"/>
      <c r="I116" s="15"/>
      <c r="J116" s="77"/>
      <c r="K116" s="92"/>
    </row>
    <row r="117" spans="1:11" ht="12.75" x14ac:dyDescent="0.2">
      <c r="A117" s="14"/>
      <c r="B117" s="14"/>
      <c r="C117" s="14"/>
      <c r="D117" s="16"/>
      <c r="E117" s="16"/>
      <c r="F117" s="14"/>
      <c r="G117" s="14"/>
      <c r="H117" s="14"/>
      <c r="I117" s="15"/>
      <c r="J117" s="77"/>
      <c r="K117" s="92"/>
    </row>
    <row r="118" spans="1:11" ht="12.75" x14ac:dyDescent="0.2">
      <c r="A118" s="14"/>
      <c r="B118" s="14"/>
      <c r="C118" s="14"/>
      <c r="D118" s="16"/>
      <c r="E118" s="16"/>
      <c r="F118" s="14"/>
      <c r="G118" s="14"/>
      <c r="H118" s="14"/>
      <c r="I118" s="15"/>
      <c r="J118" s="77"/>
      <c r="K118" s="92"/>
    </row>
    <row r="119" spans="1:11" ht="12.75" x14ac:dyDescent="0.2">
      <c r="A119" s="14"/>
      <c r="B119" s="14"/>
      <c r="C119" s="14"/>
      <c r="D119" s="16"/>
      <c r="E119" s="16"/>
      <c r="F119" s="14"/>
      <c r="G119" s="14"/>
      <c r="H119" s="14"/>
      <c r="I119" s="15"/>
      <c r="J119" s="77"/>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JAZDECKÁ FEDERÁCIA, Olympijské námestie 14290/1, Bratislava, 831 04</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31787801</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JAZDECKÁ FEDERÁCIA, Olympijské námestie 14290/1, Bratislava, 831 04</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31787801</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Sekretariát</cp:lastModifiedBy>
  <cp:revision/>
  <cp:lastPrinted>2025-01-23T13:30:36Z</cp:lastPrinted>
  <dcterms:created xsi:type="dcterms:W3CDTF">2017-02-20T06:20:12Z</dcterms:created>
  <dcterms:modified xsi:type="dcterms:W3CDTF">2025-03-12T13:43:55Z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